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<sst xmlns="http://schemas.openxmlformats.org/spreadsheetml/2006/main" count="3117" uniqueCount="2076">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</sst>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7" fillId="39" borderId="26" xfId="58" applyFont="1" applyFill="1" applyBorder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Симеоновград</v>
      </c>
      <c r="C2" s="1730"/>
      <c r="D2" s="1731"/>
      <c r="E2" s="1019"/>
      <c r="F2" s="1020">
        <f>+OTCHET!H9</f>
        <v>0</v>
      </c>
      <c r="G2" s="1021" t="str">
        <f>+OTCHET!F12</f>
        <v>7607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77561</v>
      </c>
      <c r="J51" s="1102">
        <f>+IF(OR($P$2=98,$P$2=42,$P$2=96,$P$2=97),$Q51,0)</f>
        <v>18772</v>
      </c>
      <c r="K51" s="1095"/>
      <c r="L51" s="1102">
        <f>+IF($P$2=33,$Q51,0)</f>
        <v>0</v>
      </c>
      <c r="M51" s="1095"/>
      <c r="N51" s="1132">
        <f>+ROUND(+G51+J51+L51,0)</f>
        <v>18772</v>
      </c>
      <c r="O51" s="1097"/>
      <c r="P51" s="1101">
        <f>+ROUND(OTCHET!E205-SUM(OTCHET!E217:E219)+OTCHET!E271+IF(+OR(OTCHET!$F$12=5500,OTCHET!$F$12=5600),0,+OTCHET!E297),0)</f>
        <v>77561</v>
      </c>
      <c r="Q51" s="1102">
        <f>+ROUND(OTCHET!L205-SUM(OTCHET!L217:L219)+OTCHET!L271+IF(+OR(OTCHET!$F$12=5500,OTCHET!$F$12=5600),0,+OTCHET!L297),0)</f>
        <v>18772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77561</v>
      </c>
      <c r="J56" s="1208">
        <f>+ROUND(+SUM(J51:J55),0)</f>
        <v>18772</v>
      </c>
      <c r="K56" s="1095"/>
      <c r="L56" s="1208">
        <f>+ROUND(+SUM(L51:L55),0)</f>
        <v>0</v>
      </c>
      <c r="M56" s="1095"/>
      <c r="N56" s="1209">
        <f>+ROUND(+SUM(N51:N55),0)</f>
        <v>18772</v>
      </c>
      <c r="O56" s="1097"/>
      <c r="P56" s="1207">
        <f>+ROUND(+SUM(P51:P55),0)</f>
        <v>77561</v>
      </c>
      <c r="Q56" s="1208">
        <f>+ROUND(+SUM(Q51:Q55),0)</f>
        <v>18772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4615415</v>
      </c>
      <c r="J59" s="1120">
        <f>+IF(OR($P$2=98,$P$2=42,$P$2=96,$P$2=97),$Q59,0)</f>
        <v>991129</v>
      </c>
      <c r="K59" s="1095"/>
      <c r="L59" s="1120">
        <f>+IF($P$2=33,$Q59,0)</f>
        <v>0</v>
      </c>
      <c r="M59" s="1095"/>
      <c r="N59" s="1121">
        <f>+ROUND(+G59+J59+L59,0)</f>
        <v>991129</v>
      </c>
      <c r="O59" s="1097"/>
      <c r="P59" s="1119">
        <f>+ROUND(+OTCHET!E275+OTCHET!E276,0)</f>
        <v>4615415</v>
      </c>
      <c r="Q59" s="1120">
        <f>+ROUND(+OTCHET!L275+OTCHET!L276,0)</f>
        <v>991129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4615415</v>
      </c>
      <c r="J63" s="1208">
        <f>+ROUND(+SUM(J58:J61),0)</f>
        <v>991129</v>
      </c>
      <c r="K63" s="1095"/>
      <c r="L63" s="1208">
        <f>+ROUND(+SUM(L58:L61),0)</f>
        <v>0</v>
      </c>
      <c r="M63" s="1095"/>
      <c r="N63" s="1209">
        <f>+ROUND(+SUM(N58:N61),0)</f>
        <v>991129</v>
      </c>
      <c r="O63" s="1097"/>
      <c r="P63" s="1207">
        <f>+ROUND(+SUM(P58:P61),0)</f>
        <v>4615415</v>
      </c>
      <c r="Q63" s="1208">
        <f>+ROUND(+SUM(Q58:Q61),0)</f>
        <v>991129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4692976</v>
      </c>
      <c r="J77" s="1233">
        <f>+ROUND(J56+J63+J67+J71+J75,0)</f>
        <v>1009901</v>
      </c>
      <c r="K77" s="1095"/>
      <c r="L77" s="1233">
        <f>+ROUND(L56+L63+L67+L71+L75,0)</f>
        <v>0</v>
      </c>
      <c r="M77" s="1095"/>
      <c r="N77" s="1234">
        <f>+ROUND(N56+N63+N67+N71+N75,0)</f>
        <v>1009901</v>
      </c>
      <c r="O77" s="1097"/>
      <c r="P77" s="1231">
        <f>+ROUND(P56+P63+P67+P71+P75,0)</f>
        <v>4692976</v>
      </c>
      <c r="Q77" s="1232">
        <f>+ROUND(Q56+Q63+Q67+Q71+Q75,0)</f>
        <v>1009901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4830854</v>
      </c>
      <c r="J79" s="1108">
        <f>+IF(OR($P$2=98,$P$2=42,$P$2=96,$P$2=97),$Q79,0)</f>
        <v>2716231</v>
      </c>
      <c r="K79" s="1095"/>
      <c r="L79" s="1108">
        <f>+IF($P$2=33,$Q79,0)</f>
        <v>0</v>
      </c>
      <c r="M79" s="1095"/>
      <c r="N79" s="1109">
        <f>+ROUND(+G79+J79+L79,0)</f>
        <v>2716231</v>
      </c>
      <c r="O79" s="1097"/>
      <c r="P79" s="1107">
        <f>+ROUND(OTCHET!E419,0)</f>
        <v>4830854</v>
      </c>
      <c r="Q79" s="1108">
        <f>+ROUND(OTCHET!L419,0)</f>
        <v>2716231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-137878</v>
      </c>
      <c r="J80" s="1120">
        <f>+IF(OR($P$2=98,$P$2=42,$P$2=96,$P$2=97),$Q80,0)</f>
        <v>-137878</v>
      </c>
      <c r="K80" s="1095"/>
      <c r="L80" s="1120">
        <f>+IF($P$2=33,$Q80,0)</f>
        <v>0</v>
      </c>
      <c r="M80" s="1095"/>
      <c r="N80" s="1121">
        <f>+ROUND(+G80+J80+L80,0)</f>
        <v>-137878</v>
      </c>
      <c r="O80" s="1097"/>
      <c r="P80" s="1119">
        <f>+ROUND(OTCHET!E429,0)</f>
        <v>-137878</v>
      </c>
      <c r="Q80" s="1120">
        <f>+ROUND(OTCHET!L429,0)</f>
        <v>-137878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4692976</v>
      </c>
      <c r="J81" s="1242">
        <f>+ROUND(J79+J80,0)</f>
        <v>2578353</v>
      </c>
      <c r="K81" s="1095"/>
      <c r="L81" s="1242">
        <f>+ROUND(L79+L80,0)</f>
        <v>0</v>
      </c>
      <c r="M81" s="1095"/>
      <c r="N81" s="1243">
        <f>+ROUND(N79+N80,0)</f>
        <v>2578353</v>
      </c>
      <c r="O81" s="1097"/>
      <c r="P81" s="1241">
        <f>+ROUND(P79+P80,0)</f>
        <v>4692976</v>
      </c>
      <c r="Q81" s="1242">
        <f>+ROUND(Q79+Q80,0)</f>
        <v>2578353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1568452</v>
      </c>
      <c r="K83" s="1095"/>
      <c r="L83" s="1255">
        <f>+ROUND(L48,0)-ROUND(L77,0)+ROUND(L81,0)</f>
        <v>0</v>
      </c>
      <c r="M83" s="1095"/>
      <c r="N83" s="1256">
        <f>+ROUND(N48,0)-ROUND(N77,0)+ROUND(N81,0)</f>
        <v>1568452</v>
      </c>
      <c r="O83" s="1257"/>
      <c r="P83" s="1254">
        <f>+ROUND(P48,0)-ROUND(P77,0)+ROUND(P81,0)</f>
        <v>0</v>
      </c>
      <c r="Q83" s="1255">
        <f>+ROUND(Q48,0)-ROUND(Q77,0)+ROUND(Q81,0)</f>
        <v>1568452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-1568452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-1568452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-1568452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1568452</v>
      </c>
      <c r="K131" s="1095"/>
      <c r="L131" s="1120">
        <f>+IF($P$2=33,$Q131,0)</f>
        <v>0</v>
      </c>
      <c r="M131" s="1095"/>
      <c r="N131" s="1121">
        <f>+ROUND(+G131+J131+L131,0)</f>
        <v>1568452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1568452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1568452</v>
      </c>
      <c r="K132" s="1095"/>
      <c r="L132" s="1295">
        <f>+ROUND(+L131-L129-L130,0)</f>
        <v>0</v>
      </c>
      <c r="M132" s="1095"/>
      <c r="N132" s="1296">
        <f>+ROUND(+N131-N129-N130,0)</f>
        <v>1568452</v>
      </c>
      <c r="O132" s="1097"/>
      <c r="P132" s="1294">
        <f>+ROUND(+P131-P129-P130,0)</f>
        <v>0</v>
      </c>
      <c r="Q132" s="1295">
        <f>+ROUND(+Q131-Q129-Q130,0)</f>
        <v>1568452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4692976</v>
      </c>
      <c r="F38" s="847">
        <f>F39+F43+F44+F46+SUM(F48:F52)+F55</f>
        <v>1009901</v>
      </c>
      <c r="G38" s="848">
        <f>G39+G43+G44+G46+SUM(G48:G52)+G55</f>
        <v>495013</v>
      </c>
      <c r="H38" s="849">
        <f>H39+H43+H44+H46+SUM(H48:H52)+H55</f>
        <v>514888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77561</v>
      </c>
      <c r="F43" s="815">
        <f t="shared" si="1"/>
        <v>18772</v>
      </c>
      <c r="G43" s="816">
        <f>+OTCHET!I205+OTCHET!I223+OTCHET!I271</f>
        <v>11580</v>
      </c>
      <c r="H43" s="817">
        <f>+OTCHET!J205+OTCHET!J223+OTCHET!J271</f>
        <v>7192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4615415</v>
      </c>
      <c r="F49" s="815">
        <f t="shared" si="1"/>
        <v>991129</v>
      </c>
      <c r="G49" s="816">
        <f>OTCHET!I275+OTCHET!I276+OTCHET!I284+OTCHET!I287</f>
        <v>483433</v>
      </c>
      <c r="H49" s="817">
        <f>OTCHET!J275+OTCHET!J276+OTCHET!J284+OTCHET!J287</f>
        <v>507696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4692976</v>
      </c>
      <c r="F56" s="892">
        <f>+F57+F58+F62</f>
        <v>2578353</v>
      </c>
      <c r="G56" s="893">
        <f>+G57+G58+G62</f>
        <v>607029</v>
      </c>
      <c r="H56" s="894">
        <f>+H57+H58+H62</f>
        <v>1971324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4692976</v>
      </c>
      <c r="F58" s="901">
        <f t="shared" si="2"/>
        <v>2578353</v>
      </c>
      <c r="G58" s="902">
        <f>+OTCHET!I383+OTCHET!I391+OTCHET!I396+OTCHET!I399+OTCHET!I402+OTCHET!I405+OTCHET!I406+OTCHET!I409+OTCHET!I422+OTCHET!I423+OTCHET!I424+OTCHET!I425+OTCHET!I426</f>
        <v>607029</v>
      </c>
      <c r="H58" s="903">
        <f>+OTCHET!J383+OTCHET!J391+OTCHET!J396+OTCHET!J399+OTCHET!J402+OTCHET!J405+OTCHET!J406+OTCHET!J409+OTCHET!J422+OTCHET!J423+OTCHET!J424+OTCHET!J425+OTCHET!J426</f>
        <v>1971324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-137878</v>
      </c>
      <c r="F59" s="905">
        <f t="shared" si="2"/>
        <v>-137878</v>
      </c>
      <c r="G59" s="906">
        <f>+OTCHET!I422+OTCHET!I423+OTCHET!I424+OTCHET!I425+OTCHET!I426</f>
        <v>0</v>
      </c>
      <c r="H59" s="907">
        <f>+OTCHET!J422+OTCHET!J423+OTCHET!J424+OTCHET!J425+OTCHET!J426</f>
        <v>-137878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1568452</v>
      </c>
      <c r="G64" s="928">
        <f>+G22-G38+G56-G63</f>
        <v>112016</v>
      </c>
      <c r="H64" s="929">
        <f>+H22-H38+H56-H63</f>
        <v>1456436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-1568452</v>
      </c>
      <c r="G66" s="938">
        <f>SUM(+G68+G76+G77+G84+G85+G86+G89+G90+G91+G92+G93+G94+G95)</f>
        <v>-112016</v>
      </c>
      <c r="H66" s="939">
        <f>SUM(+H68+H76+H77+H84+H85+H86+H89+H90+H91+H92+H93+H94+H95)</f>
        <v>-1456436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-1568452</v>
      </c>
      <c r="G91" s="816">
        <f>+OTCHET!I573+OTCHET!I574+OTCHET!I575+OTCHET!I576+OTCHET!I577+OTCHET!I578+OTCHET!I579</f>
        <v>-112016</v>
      </c>
      <c r="H91" s="817">
        <f>+OTCHET!J573+OTCHET!J574+OTCHET!J575+OTCHET!J576+OTCHET!J577+OTCHET!J578+OTCHET!J579</f>
        <v>-1456436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1915</v>
      </c>
      <c r="C9" s="1826"/>
      <c r="D9" s="1827"/>
      <c r="E9" s="115">
        <v>44197</v>
      </c>
      <c r="F9" s="116">
        <v>44500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Симеоновград</v>
      </c>
      <c r="C12" s="1788"/>
      <c r="D12" s="1789"/>
      <c r="E12" s="118" t="s">
        <v>957</v>
      </c>
      <c r="F12" s="1585" t="s">
        <v>1620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Симеоновград</v>
      </c>
      <c r="C176" s="1785"/>
      <c r="D176" s="1786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Симеоновград</v>
      </c>
      <c r="C179" s="1788"/>
      <c r="D179" s="1789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77561</v>
      </c>
      <c r="F205" s="274">
        <f t="shared" si="48"/>
        <v>43233</v>
      </c>
      <c r="G205" s="275">
        <f t="shared" si="48"/>
        <v>34328</v>
      </c>
      <c r="H205" s="276">
        <f t="shared" si="48"/>
        <v>0</v>
      </c>
      <c r="I205" s="274">
        <f t="shared" si="48"/>
        <v>11580</v>
      </c>
      <c r="J205" s="275">
        <f t="shared" si="48"/>
        <v>7192</v>
      </c>
      <c r="K205" s="276">
        <f t="shared" si="48"/>
        <v>0</v>
      </c>
      <c r="L205" s="310">
        <f t="shared" si="48"/>
        <v>18772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20967</v>
      </c>
      <c r="F210" s="296">
        <f t="shared" si="49"/>
        <v>20544</v>
      </c>
      <c r="G210" s="297">
        <f t="shared" si="49"/>
        <v>423</v>
      </c>
      <c r="H210" s="298">
        <f t="shared" si="49"/>
        <v>0</v>
      </c>
      <c r="I210" s="296">
        <f t="shared" si="49"/>
        <v>0</v>
      </c>
      <c r="J210" s="297">
        <f t="shared" si="49"/>
        <v>423</v>
      </c>
      <c r="K210" s="298">
        <f t="shared" si="49"/>
        <v>0</v>
      </c>
      <c r="L210" s="295">
        <f t="shared" si="49"/>
        <v>423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56594</v>
      </c>
      <c r="F212" s="321">
        <f t="shared" si="49"/>
        <v>22689</v>
      </c>
      <c r="G212" s="322">
        <f t="shared" si="49"/>
        <v>33905</v>
      </c>
      <c r="H212" s="323">
        <f t="shared" si="49"/>
        <v>0</v>
      </c>
      <c r="I212" s="321">
        <f t="shared" si="49"/>
        <v>11580</v>
      </c>
      <c r="J212" s="322">
        <f t="shared" si="49"/>
        <v>6769</v>
      </c>
      <c r="K212" s="323">
        <f t="shared" si="49"/>
        <v>0</v>
      </c>
      <c r="L212" s="320">
        <f t="shared" si="49"/>
        <v>18349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3521420</v>
      </c>
      <c r="F275" s="274">
        <f t="shared" si="68"/>
        <v>638489</v>
      </c>
      <c r="G275" s="275">
        <f t="shared" si="68"/>
        <v>2882931</v>
      </c>
      <c r="H275" s="276">
        <f t="shared" si="68"/>
        <v>0</v>
      </c>
      <c r="I275" s="274">
        <f t="shared" si="68"/>
        <v>422789</v>
      </c>
      <c r="J275" s="275">
        <f t="shared" si="68"/>
        <v>153424</v>
      </c>
      <c r="K275" s="276">
        <f t="shared" si="68"/>
        <v>0</v>
      </c>
      <c r="L275" s="310">
        <f t="shared" si="68"/>
        <v>576213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1093995</v>
      </c>
      <c r="F276" s="274">
        <f t="shared" si="68"/>
        <v>531221</v>
      </c>
      <c r="G276" s="275">
        <f t="shared" si="68"/>
        <v>562774</v>
      </c>
      <c r="H276" s="276">
        <f t="shared" si="68"/>
        <v>0</v>
      </c>
      <c r="I276" s="274">
        <f t="shared" si="68"/>
        <v>60644</v>
      </c>
      <c r="J276" s="275">
        <f t="shared" si="68"/>
        <v>354272</v>
      </c>
      <c r="K276" s="276">
        <f t="shared" si="68"/>
        <v>0</v>
      </c>
      <c r="L276" s="310">
        <f t="shared" si="68"/>
        <v>414916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641144</v>
      </c>
      <c r="F279" s="296">
        <f t="shared" si="69"/>
        <v>361593</v>
      </c>
      <c r="G279" s="297">
        <f t="shared" si="69"/>
        <v>279551</v>
      </c>
      <c r="H279" s="298">
        <f t="shared" si="69"/>
        <v>0</v>
      </c>
      <c r="I279" s="296">
        <f t="shared" si="69"/>
        <v>60644</v>
      </c>
      <c r="J279" s="297">
        <f t="shared" si="69"/>
        <v>279551</v>
      </c>
      <c r="K279" s="298">
        <f t="shared" si="69"/>
        <v>0</v>
      </c>
      <c r="L279" s="295">
        <f t="shared" si="69"/>
        <v>340195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515</v>
      </c>
      <c r="F281" s="296">
        <f t="shared" si="69"/>
        <v>0</v>
      </c>
      <c r="G281" s="297">
        <f t="shared" si="69"/>
        <v>515</v>
      </c>
      <c r="H281" s="298">
        <f t="shared" si="69"/>
        <v>0</v>
      </c>
      <c r="I281" s="296">
        <f t="shared" si="69"/>
        <v>0</v>
      </c>
      <c r="J281" s="297">
        <f t="shared" si="69"/>
        <v>515</v>
      </c>
      <c r="K281" s="298">
        <f t="shared" si="69"/>
        <v>0</v>
      </c>
      <c r="L281" s="295">
        <f t="shared" si="69"/>
        <v>515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208502</v>
      </c>
      <c r="F282" s="296">
        <f t="shared" si="69"/>
        <v>0</v>
      </c>
      <c r="G282" s="297">
        <f t="shared" si="69"/>
        <v>208502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243834</v>
      </c>
      <c r="F283" s="288">
        <f t="shared" si="69"/>
        <v>169628</v>
      </c>
      <c r="G283" s="289">
        <f t="shared" si="69"/>
        <v>74206</v>
      </c>
      <c r="H283" s="290">
        <f t="shared" si="69"/>
        <v>0</v>
      </c>
      <c r="I283" s="288">
        <f t="shared" si="69"/>
        <v>0</v>
      </c>
      <c r="J283" s="289">
        <f t="shared" si="69"/>
        <v>74206</v>
      </c>
      <c r="K283" s="290">
        <f t="shared" si="69"/>
        <v>0</v>
      </c>
      <c r="L283" s="287">
        <f t="shared" si="69"/>
        <v>74206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4692976</v>
      </c>
      <c r="F301" s="396">
        <f t="shared" si="77"/>
        <v>1212943</v>
      </c>
      <c r="G301" s="397">
        <f t="shared" si="77"/>
        <v>3480033</v>
      </c>
      <c r="H301" s="398">
        <f t="shared" si="77"/>
        <v>0</v>
      </c>
      <c r="I301" s="396">
        <f t="shared" si="77"/>
        <v>495013</v>
      </c>
      <c r="J301" s="397">
        <f t="shared" si="77"/>
        <v>514888</v>
      </c>
      <c r="K301" s="398">
        <f t="shared" si="77"/>
        <v>0</v>
      </c>
      <c r="L301" s="395">
        <f t="shared" si="77"/>
        <v>1009901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Симеоновград</v>
      </c>
      <c r="C350" s="1785"/>
      <c r="D350" s="1786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Симеоновград</v>
      </c>
      <c r="C353" s="1788"/>
      <c r="D353" s="1789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465357</v>
      </c>
      <c r="F396" s="459">
        <f t="shared" si="88"/>
        <v>103428</v>
      </c>
      <c r="G396" s="473">
        <f t="shared" si="88"/>
        <v>361929</v>
      </c>
      <c r="H396" s="445">
        <f>SUM(H397:H398)</f>
        <v>0</v>
      </c>
      <c r="I396" s="459">
        <f t="shared" si="88"/>
        <v>103428</v>
      </c>
      <c r="J396" s="444">
        <f t="shared" si="88"/>
        <v>361929</v>
      </c>
      <c r="K396" s="445">
        <f>SUM(K397:K398)</f>
        <v>0</v>
      </c>
      <c r="L396" s="1378">
        <f t="shared" si="88"/>
        <v>465357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894430</v>
      </c>
      <c r="F397" s="152">
        <v>103428</v>
      </c>
      <c r="G397" s="153">
        <v>791002</v>
      </c>
      <c r="H397" s="154">
        <v>0</v>
      </c>
      <c r="I397" s="152">
        <v>103428</v>
      </c>
      <c r="J397" s="153">
        <v>791002</v>
      </c>
      <c r="K397" s="154">
        <v>0</v>
      </c>
      <c r="L397" s="1379">
        <f>I397+J397+K397</f>
        <v>894430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-429073</v>
      </c>
      <c r="F398" s="173"/>
      <c r="G398" s="174">
        <v>-429073</v>
      </c>
      <c r="H398" s="175">
        <v>0</v>
      </c>
      <c r="I398" s="173"/>
      <c r="J398" s="174">
        <v>-429073</v>
      </c>
      <c r="K398" s="175">
        <v>0</v>
      </c>
      <c r="L398" s="1383">
        <f>I398+J398+K398</f>
        <v>-429073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4365497</v>
      </c>
      <c r="F399" s="459">
        <f t="shared" si="89"/>
        <v>1109515</v>
      </c>
      <c r="G399" s="473">
        <f t="shared" si="89"/>
        <v>3255982</v>
      </c>
      <c r="H399" s="445">
        <f>SUM(H400:H401)</f>
        <v>0</v>
      </c>
      <c r="I399" s="459">
        <f t="shared" si="89"/>
        <v>503601</v>
      </c>
      <c r="J399" s="444">
        <f t="shared" si="89"/>
        <v>1747273</v>
      </c>
      <c r="K399" s="445">
        <f>SUM(K400:K401)</f>
        <v>0</v>
      </c>
      <c r="L399" s="1378">
        <f t="shared" si="89"/>
        <v>2250874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4365497</v>
      </c>
      <c r="F400" s="158">
        <v>1109515</v>
      </c>
      <c r="G400" s="159">
        <v>3255982</v>
      </c>
      <c r="H400" s="154">
        <v>0</v>
      </c>
      <c r="I400" s="158">
        <v>503601</v>
      </c>
      <c r="J400" s="159">
        <v>1747273</v>
      </c>
      <c r="K400" s="154">
        <v>0</v>
      </c>
      <c r="L400" s="1379">
        <f>I400+J400+K400</f>
        <v>2250874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4830854</v>
      </c>
      <c r="F419" s="495">
        <f t="shared" si="95"/>
        <v>1212943</v>
      </c>
      <c r="G419" s="496">
        <f t="shared" si="95"/>
        <v>3617911</v>
      </c>
      <c r="H419" s="515">
        <f>SUM(H361,H375,H383,H388,H391,H396,H399,H402,H405,H406,H409,H412)</f>
        <v>0</v>
      </c>
      <c r="I419" s="495">
        <f t="shared" si="95"/>
        <v>607029</v>
      </c>
      <c r="J419" s="496">
        <f t="shared" si="95"/>
        <v>2109202</v>
      </c>
      <c r="K419" s="515">
        <f>SUM(K361,K375,K383,K388,K391,K396,K399,K402,K405,K406,K409,K412)</f>
        <v>0</v>
      </c>
      <c r="L419" s="512">
        <f t="shared" si="95"/>
        <v>2716231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-137878</v>
      </c>
      <c r="F426" s="459">
        <f t="shared" si="96"/>
        <v>0</v>
      </c>
      <c r="G426" s="473">
        <f t="shared" si="96"/>
        <v>-137878</v>
      </c>
      <c r="H426" s="445">
        <f>SUM(H427:H428)</f>
        <v>0</v>
      </c>
      <c r="I426" s="459">
        <f t="shared" si="96"/>
        <v>0</v>
      </c>
      <c r="J426" s="444">
        <f t="shared" si="96"/>
        <v>-137878</v>
      </c>
      <c r="K426" s="445">
        <f t="shared" si="96"/>
        <v>0</v>
      </c>
      <c r="L426" s="1378">
        <f t="shared" si="96"/>
        <v>-137878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-137878</v>
      </c>
      <c r="F427" s="152"/>
      <c r="G427" s="153">
        <v>-137878</v>
      </c>
      <c r="H427" s="154">
        <v>0</v>
      </c>
      <c r="I427" s="152"/>
      <c r="J427" s="153">
        <v>-137878</v>
      </c>
      <c r="K427" s="154">
        <v>0</v>
      </c>
      <c r="L427" s="1379">
        <f>I427+J427+K427</f>
        <v>-137878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-137878</v>
      </c>
      <c r="F429" s="513">
        <f t="shared" si="97"/>
        <v>0</v>
      </c>
      <c r="G429" s="514">
        <f t="shared" si="97"/>
        <v>-137878</v>
      </c>
      <c r="H429" s="515">
        <f>SUM(H422,H423,H424,H425,H426)</f>
        <v>0</v>
      </c>
      <c r="I429" s="513">
        <f t="shared" si="97"/>
        <v>0</v>
      </c>
      <c r="J429" s="514">
        <f t="shared" si="97"/>
        <v>-137878</v>
      </c>
      <c r="K429" s="515">
        <f t="shared" si="97"/>
        <v>0</v>
      </c>
      <c r="L429" s="512">
        <f t="shared" si="97"/>
        <v>-137878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Симеоновград</v>
      </c>
      <c r="C435" s="1785"/>
      <c r="D435" s="1786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Симеоновград</v>
      </c>
      <c r="C438" s="1788"/>
      <c r="D438" s="1789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112016</v>
      </c>
      <c r="J445" s="547">
        <f t="shared" si="99"/>
        <v>1456436</v>
      </c>
      <c r="K445" s="548">
        <f t="shared" si="99"/>
        <v>0</v>
      </c>
      <c r="L445" s="549">
        <f t="shared" si="99"/>
        <v>1568452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-112016</v>
      </c>
      <c r="J446" s="554">
        <f t="shared" si="100"/>
        <v>-1456436</v>
      </c>
      <c r="K446" s="555">
        <f t="shared" si="100"/>
        <v>0</v>
      </c>
      <c r="L446" s="556">
        <f>+L597</f>
        <v>-1568452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Симеоновград</v>
      </c>
      <c r="C451" s="1785"/>
      <c r="D451" s="1786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Симеоновград</v>
      </c>
      <c r="C454" s="1788"/>
      <c r="D454" s="1789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-112016</v>
      </c>
      <c r="J566" s="580">
        <f t="shared" si="128"/>
        <v>-1456436</v>
      </c>
      <c r="K566" s="581">
        <f t="shared" si="128"/>
        <v>0</v>
      </c>
      <c r="L566" s="578">
        <f t="shared" si="128"/>
        <v>-1568452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-112016</v>
      </c>
      <c r="J573" s="153">
        <v>-1456436</v>
      </c>
      <c r="K573" s="1626">
        <v>0</v>
      </c>
      <c r="L573" s="1393">
        <f t="shared" si="129"/>
        <v>-1568452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-112016</v>
      </c>
      <c r="J597" s="664">
        <f t="shared" si="133"/>
        <v>-1456436</v>
      </c>
      <c r="K597" s="666">
        <f t="shared" si="133"/>
        <v>0</v>
      </c>
      <c r="L597" s="662">
        <f t="shared" si="133"/>
        <v>-1568452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2" t="str">
        <f>$B$7</f>
        <v>ОТЧЕТНИ ДАННИ ПО ЕБК ЗА СМЕТКИТЕ ЗА СРЕДСТВАТА ОТ ЕВРОПЕЙСКИЯ СЪЮЗ - РА</v>
      </c>
      <c r="C621" s="1793"/>
      <c r="D621" s="1793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4" t="str">
        <f>$B$9</f>
        <v>Симеоновград</v>
      </c>
      <c r="C623" s="1785"/>
      <c r="D623" s="1786"/>
      <c r="E623" s="115">
        <f>$E$9</f>
        <v>44197</v>
      </c>
      <c r="F623" s="226">
        <f>$F$9</f>
        <v>44500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3" t="str">
        <f>$B$12</f>
        <v>Симеоновград</v>
      </c>
      <c r="C626" s="1844"/>
      <c r="D626" s="1845"/>
      <c r="E626" s="410" t="s">
        <v>885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708</v>
      </c>
      <c r="E630" s="1828" t="s">
        <v>2072</v>
      </c>
      <c r="F630" s="1829"/>
      <c r="G630" s="1829"/>
      <c r="H630" s="1830"/>
      <c r="I630" s="1837" t="s">
        <v>2073</v>
      </c>
      <c r="J630" s="1838"/>
      <c r="K630" s="1838"/>
      <c r="L630" s="183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668" t="s">
        <v>2071</v>
      </c>
      <c r="C634" s="1458">
        <f>VLOOKUP(D635,EBK_DEIN2,2,FALSE)</f>
        <v>3311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6">
        <f>+C634</f>
        <v>3311</v>
      </c>
      <c r="D635" s="1452" t="s">
        <v>1962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7" t="s">
        <v>739</v>
      </c>
      <c r="D637" s="181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3" t="s">
        <v>742</v>
      </c>
      <c r="D640" s="181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5" t="s">
        <v>192</v>
      </c>
      <c r="D646" s="181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904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866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868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1" t="s">
        <v>197</v>
      </c>
      <c r="D654" s="1812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3" t="s">
        <v>198</v>
      </c>
      <c r="D655" s="1814"/>
      <c r="E655" s="310">
        <f>SUM(E656:E672)</f>
        <v>7192</v>
      </c>
      <c r="F655" s="274">
        <f>SUM(F656:F672)</f>
        <v>0</v>
      </c>
      <c r="G655" s="275">
        <f>SUM(G656:G672)</f>
        <v>7192</v>
      </c>
      <c r="H655" s="276">
        <f>SUM(H656:H672)</f>
        <v>0</v>
      </c>
      <c r="I655" s="274">
        <f>SUM(I656:I672)</f>
        <v>0</v>
      </c>
      <c r="J655" s="275">
        <f>SUM(J656:J672)</f>
        <v>7192</v>
      </c>
      <c r="K655" s="276">
        <f>SUM(K656:K672)</f>
        <v>0</v>
      </c>
      <c r="L655" s="310">
        <f>SUM(L656:L672)</f>
        <v>7192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423</v>
      </c>
      <c r="F660" s="158"/>
      <c r="G660" s="159">
        <v>423</v>
      </c>
      <c r="H660" s="1420"/>
      <c r="I660" s="158"/>
      <c r="J660" s="159">
        <v>423</v>
      </c>
      <c r="K660" s="1420"/>
      <c r="L660" s="295">
        <f>I660+J660+K660</f>
        <v>423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6769</v>
      </c>
      <c r="F662" s="454"/>
      <c r="G662" s="455">
        <v>6769</v>
      </c>
      <c r="H662" s="1428"/>
      <c r="I662" s="454"/>
      <c r="J662" s="455">
        <v>6769</v>
      </c>
      <c r="K662" s="1428"/>
      <c r="L662" s="320">
        <f>I662+J662+K662</f>
        <v>6769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869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796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7" t="s">
        <v>269</v>
      </c>
      <c r="D673" s="1808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7" t="s">
        <v>717</v>
      </c>
      <c r="D677" s="1808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7" t="s">
        <v>217</v>
      </c>
      <c r="D683" s="1808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7" t="s">
        <v>219</v>
      </c>
      <c r="D686" s="1808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9" t="s">
        <v>220</v>
      </c>
      <c r="D687" s="1810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9" t="s">
        <v>221</v>
      </c>
      <c r="D688" s="1810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9" t="s">
        <v>1656</v>
      </c>
      <c r="D689" s="1810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7" t="s">
        <v>222</v>
      </c>
      <c r="D690" s="1808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711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1653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2052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7" t="s">
        <v>231</v>
      </c>
      <c r="D705" s="1808"/>
      <c r="E705" s="310">
        <f>F705+G705+H705</f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7" t="s">
        <v>232</v>
      </c>
      <c r="D706" s="1808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7" t="s">
        <v>233</v>
      </c>
      <c r="D707" s="1808"/>
      <c r="E707" s="310">
        <f>F707+G707+H707</f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7" t="s">
        <v>234</v>
      </c>
      <c r="D708" s="1808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7" t="s">
        <v>1657</v>
      </c>
      <c r="D715" s="1808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7" t="s">
        <v>1654</v>
      </c>
      <c r="D719" s="1808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7" t="s">
        <v>1655</v>
      </c>
      <c r="D720" s="1808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9" t="s">
        <v>244</v>
      </c>
      <c r="D721" s="1810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7" t="s">
        <v>270</v>
      </c>
      <c r="D722" s="1808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5" t="s">
        <v>245</v>
      </c>
      <c r="D725" s="1806"/>
      <c r="E725" s="310">
        <f>F725+G725+H725</f>
        <v>153424</v>
      </c>
      <c r="F725" s="1422"/>
      <c r="G725" s="1423">
        <v>153424</v>
      </c>
      <c r="H725" s="1424"/>
      <c r="I725" s="1422"/>
      <c r="J725" s="1423">
        <v>153424</v>
      </c>
      <c r="K725" s="1424"/>
      <c r="L725" s="310">
        <f>I725+J725+K725</f>
        <v>153424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805" t="s">
        <v>246</v>
      </c>
      <c r="D726" s="1806"/>
      <c r="E726" s="310">
        <f>SUM(E727:E733)</f>
        <v>354272</v>
      </c>
      <c r="F726" s="274">
        <f>SUM(F727:F733)</f>
        <v>0</v>
      </c>
      <c r="G726" s="275">
        <f>SUM(G727:G733)</f>
        <v>354272</v>
      </c>
      <c r="H726" s="276">
        <f>SUM(H727:H733)</f>
        <v>0</v>
      </c>
      <c r="I726" s="274">
        <f>SUM(I727:I733)</f>
        <v>0</v>
      </c>
      <c r="J726" s="275">
        <f>SUM(J727:J733)</f>
        <v>354272</v>
      </c>
      <c r="K726" s="276">
        <f>SUM(K727:K733)</f>
        <v>0</v>
      </c>
      <c r="L726" s="310">
        <f>SUM(L727:L733)</f>
        <v>354272</v>
      </c>
      <c r="M726" s="12">
        <f>(IF($E726&lt;&gt;0,$M$2,IF($L726&lt;&gt;0,$M$2,"")))</f>
        <v>1</v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614</v>
      </c>
      <c r="E729" s="295">
        <f>F729+G729+H729</f>
        <v>279551</v>
      </c>
      <c r="F729" s="158"/>
      <c r="G729" s="159">
        <v>279551</v>
      </c>
      <c r="H729" s="1420"/>
      <c r="I729" s="158"/>
      <c r="J729" s="159">
        <v>279551</v>
      </c>
      <c r="K729" s="1420"/>
      <c r="L729" s="295">
        <f>I729+J729+K729</f>
        <v>279551</v>
      </c>
      <c r="M729" s="12">
        <f>(IF($E729&lt;&gt;0,$M$2,IF($L729&lt;&gt;0,$M$2,"")))</f>
        <v>1</v>
      </c>
      <c r="N729" s="13"/>
    </row>
    <row r="730" spans="2:14" ht="15.75">
      <c r="B730" s="366"/>
      <c r="C730" s="369">
        <v>5204</v>
      </c>
      <c r="D730" s="370" t="s">
        <v>615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616</v>
      </c>
      <c r="E731" s="295">
        <f>F731+G731+H731</f>
        <v>515</v>
      </c>
      <c r="F731" s="158"/>
      <c r="G731" s="159">
        <v>515</v>
      </c>
      <c r="H731" s="1420"/>
      <c r="I731" s="158"/>
      <c r="J731" s="159">
        <v>515</v>
      </c>
      <c r="K731" s="1420"/>
      <c r="L731" s="295">
        <f>I731+J731+K731</f>
        <v>515</v>
      </c>
      <c r="M731" s="12">
        <f>(IF($E731&lt;&gt;0,$M$2,IF($L731&lt;&gt;0,$M$2,"")))</f>
        <v>1</v>
      </c>
      <c r="N731" s="13"/>
    </row>
    <row r="732" spans="2:14" ht="15.75">
      <c r="B732" s="366"/>
      <c r="C732" s="369">
        <v>5206</v>
      </c>
      <c r="D732" s="370" t="s">
        <v>617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618</v>
      </c>
      <c r="E733" s="287">
        <f>F733+G733+H733</f>
        <v>74206</v>
      </c>
      <c r="F733" s="173"/>
      <c r="G733" s="174">
        <v>74206</v>
      </c>
      <c r="H733" s="1421"/>
      <c r="I733" s="173"/>
      <c r="J733" s="174">
        <v>74206</v>
      </c>
      <c r="K733" s="1421"/>
      <c r="L733" s="287">
        <f>I733+J733+K733</f>
        <v>74206</v>
      </c>
      <c r="M733" s="12">
        <f>(IF($E733&lt;&gt;0,$M$2,IF($L733&lt;&gt;0,$M$2,"")))</f>
        <v>1</v>
      </c>
      <c r="N733" s="13"/>
    </row>
    <row r="734" spans="2:14" ht="15.75">
      <c r="B734" s="365">
        <v>5300</v>
      </c>
      <c r="C734" s="1805" t="s">
        <v>619</v>
      </c>
      <c r="D734" s="1806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5" t="s">
        <v>681</v>
      </c>
      <c r="D737" s="180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7" t="s">
        <v>682</v>
      </c>
      <c r="D738" s="1808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00" t="s">
        <v>909</v>
      </c>
      <c r="D743" s="1801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2" t="s">
        <v>690</v>
      </c>
      <c r="D747" s="1803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2" t="s">
        <v>690</v>
      </c>
      <c r="D748" s="1803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514888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514888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514888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514888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2" t="str">
        <f>$B$7</f>
        <v>ОТЧЕТНИ ДАННИ ПО ЕБК ЗА СМЕТКИТЕ ЗА СРЕДСТВАТА ОТ ЕВРОПЕЙСКИЯ СЪЮЗ - РА</v>
      </c>
      <c r="C759" s="1793"/>
      <c r="D759" s="1793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4" t="str">
        <f>$B$9</f>
        <v>Симеоновград</v>
      </c>
      <c r="C761" s="1785"/>
      <c r="D761" s="1786"/>
      <c r="E761" s="115">
        <f>$E$9</f>
        <v>44197</v>
      </c>
      <c r="F761" s="226">
        <f>$F$9</f>
        <v>44500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3" t="str">
        <f>$B$12</f>
        <v>Симеоновград</v>
      </c>
      <c r="C764" s="1844"/>
      <c r="D764" s="1845"/>
      <c r="E764" s="410" t="s">
        <v>885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886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708</v>
      </c>
      <c r="E768" s="1828" t="s">
        <v>2072</v>
      </c>
      <c r="F768" s="1829"/>
      <c r="G768" s="1829"/>
      <c r="H768" s="1830"/>
      <c r="I768" s="1837" t="s">
        <v>2073</v>
      </c>
      <c r="J768" s="1838"/>
      <c r="K768" s="1838"/>
      <c r="L768" s="183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668" t="s">
        <v>2071</v>
      </c>
      <c r="C772" s="1458">
        <f>VLOOKUP(D773,EBK_DEIN2,2,FALSE)</f>
        <v>3322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6">
        <f>+C772</f>
        <v>3322</v>
      </c>
      <c r="D773" s="1452" t="s">
        <v>1955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7" t="s">
        <v>739</v>
      </c>
      <c r="D775" s="181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3" t="s">
        <v>742</v>
      </c>
      <c r="D778" s="181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5" t="s">
        <v>192</v>
      </c>
      <c r="D784" s="181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904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866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868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1" t="s">
        <v>197</v>
      </c>
      <c r="D792" s="1812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3" t="s">
        <v>198</v>
      </c>
      <c r="D793" s="1814"/>
      <c r="E793" s="310">
        <f>SUM(E794:E810)</f>
        <v>43233</v>
      </c>
      <c r="F793" s="274">
        <f>SUM(F794:F810)</f>
        <v>43233</v>
      </c>
      <c r="G793" s="275">
        <f>SUM(G794:G810)</f>
        <v>0</v>
      </c>
      <c r="H793" s="276">
        <f>SUM(H794:H810)</f>
        <v>0</v>
      </c>
      <c r="I793" s="274">
        <f>SUM(I794:I810)</f>
        <v>11580</v>
      </c>
      <c r="J793" s="275">
        <f>SUM(J794:J810)</f>
        <v>0</v>
      </c>
      <c r="K793" s="276">
        <f>SUM(K794:K810)</f>
        <v>0</v>
      </c>
      <c r="L793" s="310">
        <f>SUM(L794:L810)</f>
        <v>11580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20544</v>
      </c>
      <c r="F798" s="158">
        <v>20544</v>
      </c>
      <c r="G798" s="159"/>
      <c r="H798" s="1420"/>
      <c r="I798" s="158">
        <v>0</v>
      </c>
      <c r="J798" s="159"/>
      <c r="K798" s="1420"/>
      <c r="L798" s="295">
        <f>I798+J798+K798</f>
        <v>0</v>
      </c>
      <c r="M798" s="12">
        <f>(IF($E798&lt;&gt;0,$M$2,IF($L798&lt;&gt;0,$M$2,"")))</f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22689</v>
      </c>
      <c r="F800" s="454">
        <v>22689</v>
      </c>
      <c r="G800" s="455"/>
      <c r="H800" s="1428"/>
      <c r="I800" s="454">
        <v>11580</v>
      </c>
      <c r="J800" s="455"/>
      <c r="K800" s="1428"/>
      <c r="L800" s="320">
        <f>I800+J800+K800</f>
        <v>11580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869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796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7" t="s">
        <v>269</v>
      </c>
      <c r="D811" s="1808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7" t="s">
        <v>717</v>
      </c>
      <c r="D815" s="1808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7" t="s">
        <v>217</v>
      </c>
      <c r="D821" s="1808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7" t="s">
        <v>219</v>
      </c>
      <c r="D824" s="1808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9" t="s">
        <v>220</v>
      </c>
      <c r="D825" s="1810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9" t="s">
        <v>221</v>
      </c>
      <c r="D826" s="1810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9" t="s">
        <v>1656</v>
      </c>
      <c r="D827" s="1810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7" t="s">
        <v>222</v>
      </c>
      <c r="D828" s="1808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1998</v>
      </c>
      <c r="D837" s="1480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711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1653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2052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7" t="s">
        <v>231</v>
      </c>
      <c r="D843" s="1808"/>
      <c r="E843" s="310">
        <f>F843+G843+H843</f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7" t="s">
        <v>232</v>
      </c>
      <c r="D844" s="1808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7" t="s">
        <v>233</v>
      </c>
      <c r="D845" s="1808"/>
      <c r="E845" s="310">
        <f>F845+G845+H845</f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7" t="s">
        <v>234</v>
      </c>
      <c r="D846" s="1808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7" t="s">
        <v>1657</v>
      </c>
      <c r="D853" s="1808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7" t="s">
        <v>1654</v>
      </c>
      <c r="D857" s="1808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7" t="s">
        <v>1655</v>
      </c>
      <c r="D858" s="1808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9" t="s">
        <v>244</v>
      </c>
      <c r="D859" s="1810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7" t="s">
        <v>270</v>
      </c>
      <c r="D860" s="1808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5" t="s">
        <v>245</v>
      </c>
      <c r="D863" s="1806"/>
      <c r="E863" s="310">
        <f>F863+G863+H863</f>
        <v>638489</v>
      </c>
      <c r="F863" s="1422">
        <v>638489</v>
      </c>
      <c r="G863" s="1423"/>
      <c r="H863" s="1424"/>
      <c r="I863" s="1422">
        <v>422789</v>
      </c>
      <c r="J863" s="1423"/>
      <c r="K863" s="1424"/>
      <c r="L863" s="310">
        <f>I863+J863+K863</f>
        <v>422789</v>
      </c>
      <c r="M863" s="12">
        <f>(IF($E863&lt;&gt;0,$M$2,IF($L863&lt;&gt;0,$M$2,"")))</f>
        <v>1</v>
      </c>
      <c r="N863" s="13"/>
    </row>
    <row r="864" spans="2:14" ht="15.75">
      <c r="B864" s="365">
        <v>5200</v>
      </c>
      <c r="C864" s="1805" t="s">
        <v>246</v>
      </c>
      <c r="D864" s="1806"/>
      <c r="E864" s="310">
        <f>SUM(E865:E871)</f>
        <v>531221</v>
      </c>
      <c r="F864" s="274">
        <f>SUM(F865:F871)</f>
        <v>531221</v>
      </c>
      <c r="G864" s="275">
        <f>SUM(G865:G871)</f>
        <v>0</v>
      </c>
      <c r="H864" s="276">
        <f>SUM(H865:H871)</f>
        <v>0</v>
      </c>
      <c r="I864" s="274">
        <f>SUM(I865:I871)</f>
        <v>60644</v>
      </c>
      <c r="J864" s="275">
        <f>SUM(J865:J871)</f>
        <v>0</v>
      </c>
      <c r="K864" s="276">
        <f>SUM(K865:K871)</f>
        <v>0</v>
      </c>
      <c r="L864" s="310">
        <f>SUM(L865:L871)</f>
        <v>60644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614</v>
      </c>
      <c r="E867" s="295">
        <f>F867+G867+H867</f>
        <v>361593</v>
      </c>
      <c r="F867" s="158">
        <v>361593</v>
      </c>
      <c r="G867" s="159"/>
      <c r="H867" s="1420"/>
      <c r="I867" s="158">
        <v>60644</v>
      </c>
      <c r="J867" s="159"/>
      <c r="K867" s="1420"/>
      <c r="L867" s="295">
        <f>I867+J867+K867</f>
        <v>60644</v>
      </c>
      <c r="M867" s="12">
        <f>(IF($E867&lt;&gt;0,$M$2,IF($L867&lt;&gt;0,$M$2,"")))</f>
        <v>1</v>
      </c>
      <c r="N867" s="13"/>
    </row>
    <row r="868" spans="2:14" ht="15.75">
      <c r="B868" s="366"/>
      <c r="C868" s="369">
        <v>5204</v>
      </c>
      <c r="D868" s="370" t="s">
        <v>615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616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617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618</v>
      </c>
      <c r="E871" s="287">
        <f>F871+G871+H871</f>
        <v>169628</v>
      </c>
      <c r="F871" s="173">
        <v>169628</v>
      </c>
      <c r="G871" s="174"/>
      <c r="H871" s="1421"/>
      <c r="I871" s="173">
        <v>0</v>
      </c>
      <c r="J871" s="174"/>
      <c r="K871" s="1421"/>
      <c r="L871" s="287">
        <f>I871+J871+K871</f>
        <v>0</v>
      </c>
      <c r="M871" s="12">
        <f>(IF($E871&lt;&gt;0,$M$2,IF($L871&lt;&gt;0,$M$2,"")))</f>
        <v>1</v>
      </c>
      <c r="N871" s="13"/>
    </row>
    <row r="872" spans="2:14" ht="15.75">
      <c r="B872" s="365">
        <v>5300</v>
      </c>
      <c r="C872" s="1805" t="s">
        <v>619</v>
      </c>
      <c r="D872" s="1806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5" t="s">
        <v>681</v>
      </c>
      <c r="D875" s="180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7" t="s">
        <v>682</v>
      </c>
      <c r="D876" s="1808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800" t="s">
        <v>909</v>
      </c>
      <c r="D881" s="1801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2" t="s">
        <v>690</v>
      </c>
      <c r="D885" s="1803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2" t="s">
        <v>690</v>
      </c>
      <c r="D886" s="1803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1212943</v>
      </c>
      <c r="F890" s="396">
        <f>SUM(F775,F778,F784,F792,F793,F811,F815,F821,F824,F825,F826,F827,F828,F837,F843,F844,F845,F846,F853,F857,F858,F859,F860,F863,F864,F872,F875,F876,F881)+F886</f>
        <v>1212943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495013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495013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92" t="str">
        <f>$B$7</f>
        <v>ОТЧЕТНИ ДАННИ ПО ЕБК ЗА СМЕТКИТЕ ЗА СРЕДСТВАТА ОТ ЕВРОПЕЙСКИЯ СЪЮЗ - РА</v>
      </c>
      <c r="C897" s="1793"/>
      <c r="D897" s="1793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4" t="str">
        <f>$B$9</f>
        <v>Симеоновград</v>
      </c>
      <c r="C899" s="1785"/>
      <c r="D899" s="1786"/>
      <c r="E899" s="115">
        <f>$E$9</f>
        <v>44197</v>
      </c>
      <c r="F899" s="226">
        <f>$F$9</f>
        <v>44500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3" t="str">
        <f>$B$12</f>
        <v>Симеоновград</v>
      </c>
      <c r="C902" s="1844"/>
      <c r="D902" s="1845"/>
      <c r="E902" s="410" t="s">
        <v>885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886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708</v>
      </c>
      <c r="E906" s="1828" t="s">
        <v>2072</v>
      </c>
      <c r="F906" s="1829"/>
      <c r="G906" s="1829"/>
      <c r="H906" s="1830"/>
      <c r="I906" s="1837" t="s">
        <v>2073</v>
      </c>
      <c r="J906" s="1838"/>
      <c r="K906" s="1838"/>
      <c r="L906" s="1839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668" t="s">
        <v>2071</v>
      </c>
      <c r="C910" s="1458">
        <f>VLOOKUP(D911,EBK_DEIN2,2,FALSE)</f>
        <v>8829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6">
        <f>+C910</f>
        <v>8829</v>
      </c>
      <c r="D911" s="1452" t="s">
        <v>115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17" t="s">
        <v>739</v>
      </c>
      <c r="D913" s="1818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13" t="s">
        <v>742</v>
      </c>
      <c r="D916" s="1814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15" t="s">
        <v>192</v>
      </c>
      <c r="D922" s="1816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193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904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866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194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195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868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196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11" t="s">
        <v>197</v>
      </c>
      <c r="D930" s="1812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13" t="s">
        <v>198</v>
      </c>
      <c r="D931" s="1814"/>
      <c r="E931" s="310">
        <f>SUM(E932:E948)</f>
        <v>27136</v>
      </c>
      <c r="F931" s="274">
        <f>SUM(F932:F948)</f>
        <v>0</v>
      </c>
      <c r="G931" s="275">
        <f>SUM(G932:G948)</f>
        <v>27136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200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201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202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203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204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205</v>
      </c>
      <c r="E938" s="320">
        <f>F938+G938+H938</f>
        <v>27136</v>
      </c>
      <c r="F938" s="454"/>
      <c r="G938" s="455">
        <v>27136</v>
      </c>
      <c r="H938" s="1428"/>
      <c r="I938" s="454"/>
      <c r="J938" s="455">
        <v>0</v>
      </c>
      <c r="K938" s="1428"/>
      <c r="L938" s="320">
        <f>I938+J938+K938</f>
        <v>0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206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207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208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869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209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796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210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905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302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211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07" t="s">
        <v>269</v>
      </c>
      <c r="D949" s="1808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07" t="s">
        <v>717</v>
      </c>
      <c r="D953" s="1808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07" t="s">
        <v>217</v>
      </c>
      <c r="D959" s="1808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303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218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07" t="s">
        <v>219</v>
      </c>
      <c r="D962" s="1808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09" t="s">
        <v>220</v>
      </c>
      <c r="D963" s="1810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09" t="s">
        <v>221</v>
      </c>
      <c r="D964" s="1810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09" t="s">
        <v>1656</v>
      </c>
      <c r="D965" s="1810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07" t="s">
        <v>222</v>
      </c>
      <c r="D966" s="1808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1948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223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224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225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226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1967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227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228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1998</v>
      </c>
      <c r="D975" s="1480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229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711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1653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2052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07" t="s">
        <v>231</v>
      </c>
      <c r="D981" s="1808"/>
      <c r="E981" s="310">
        <f>F981+G981+H981</f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07" t="s">
        <v>232</v>
      </c>
      <c r="D982" s="1808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07" t="s">
        <v>233</v>
      </c>
      <c r="D983" s="1808"/>
      <c r="E983" s="310">
        <f>F983+G983+H983</f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07" t="s">
        <v>234</v>
      </c>
      <c r="D984" s="1808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235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236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237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238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239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240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07" t="s">
        <v>1657</v>
      </c>
      <c r="D991" s="1808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241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242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243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07" t="s">
        <v>1654</v>
      </c>
      <c r="D995" s="1808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07" t="s">
        <v>1655</v>
      </c>
      <c r="D996" s="1808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09" t="s">
        <v>244</v>
      </c>
      <c r="D997" s="1810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07" t="s">
        <v>270</v>
      </c>
      <c r="D998" s="1808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05" t="s">
        <v>245</v>
      </c>
      <c r="D1001" s="1806"/>
      <c r="E1001" s="310">
        <f>F1001+G1001+H1001</f>
        <v>2729507</v>
      </c>
      <c r="F1001" s="1422"/>
      <c r="G1001" s="1423">
        <v>2729507</v>
      </c>
      <c r="H1001" s="1424"/>
      <c r="I1001" s="1422"/>
      <c r="J1001" s="1423">
        <v>0</v>
      </c>
      <c r="K1001" s="1424"/>
      <c r="L1001" s="310">
        <f>I1001+J1001+K1001</f>
        <v>0</v>
      </c>
      <c r="M1001" s="12">
        <f>(IF($E1001&lt;&gt;0,$M$2,IF($L1001&lt;&gt;0,$M$2,"")))</f>
        <v>1</v>
      </c>
      <c r="N1001" s="13"/>
    </row>
    <row r="1002" spans="2:14" ht="15.75">
      <c r="B1002" s="365">
        <v>5200</v>
      </c>
      <c r="C1002" s="1805" t="s">
        <v>246</v>
      </c>
      <c r="D1002" s="1806"/>
      <c r="E1002" s="310">
        <f>SUM(E1003:E1009)</f>
        <v>208502</v>
      </c>
      <c r="F1002" s="274">
        <f>SUM(F1003:F1009)</f>
        <v>0</v>
      </c>
      <c r="G1002" s="275">
        <f>SUM(G1003:G1009)</f>
        <v>208502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  <v>1</v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614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615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616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617</v>
      </c>
      <c r="E1008" s="295">
        <f>F1008+G1008+H1008</f>
        <v>208502</v>
      </c>
      <c r="F1008" s="158"/>
      <c r="G1008" s="159">
        <v>208502</v>
      </c>
      <c r="H1008" s="1420"/>
      <c r="I1008" s="158"/>
      <c r="J1008" s="159">
        <v>0</v>
      </c>
      <c r="K1008" s="1420"/>
      <c r="L1008" s="295">
        <f>I1008+J1008+K1008</f>
        <v>0</v>
      </c>
      <c r="M1008" s="12">
        <f>(IF($E1008&lt;&gt;0,$M$2,IF($L1008&lt;&gt;0,$M$2,"")))</f>
        <v>1</v>
      </c>
      <c r="N1008" s="13"/>
    </row>
    <row r="1009" spans="2:14" ht="15.75">
      <c r="B1009" s="366"/>
      <c r="C1009" s="371">
        <v>5219</v>
      </c>
      <c r="D1009" s="372" t="s">
        <v>618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05" t="s">
        <v>619</v>
      </c>
      <c r="D1010" s="1806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05" t="s">
        <v>681</v>
      </c>
      <c r="D1013" s="1806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07" t="s">
        <v>682</v>
      </c>
      <c r="D1014" s="1808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800" t="s">
        <v>909</v>
      </c>
      <c r="D1019" s="1801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2" t="s">
        <v>690</v>
      </c>
      <c r="D1023" s="1803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2" t="s">
        <v>690</v>
      </c>
      <c r="D1024" s="1803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3"/>
      <c r="C1028" s="393" t="s">
        <v>736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2965145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2965145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0</v>
      </c>
      <c r="M1028" s="12">
        <f>(IF($E1028&lt;&gt;0,$M$2,IF($L1028&lt;&gt;0,$M$2,"")))</f>
        <v>1</v>
      </c>
      <c r="N1028" s="73" t="str">
        <f>LEFT(C910,1)</f>
        <v>8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2021-06-18T13:15:40Z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